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<sst xmlns="http://schemas.openxmlformats.org/spreadsheetml/2006/main" count="417" uniqueCount="152">
  <si>
    <t>Source name</t>
  </si>
  <si>
    <t>Source type</t>
  </si>
  <si>
    <t>Weather</t>
  </si>
  <si>
    <t>Int Time</t>
  </si>
  <si>
    <t>Map area</t>
  </si>
  <si>
    <t>Script</t>
  </si>
  <si>
    <t>Scans</t>
  </si>
  <si>
    <t>Goal rms</t>
  </si>
  <si>
    <t>Start time</t>
  </si>
  <si>
    <t>End time</t>
  </si>
  <si>
    <t>Status</t>
  </si>
  <si>
    <t>Scans(date)</t>
  </si>
  <si>
    <t>Script integration time in min</t>
  </si>
  <si>
    <t>minutes</t>
  </si>
  <si>
    <t>arcminutes</t>
  </si>
  <si>
    <t>mJy (2.1mm)</t>
  </si>
  <si>
    <t>UT</t>
  </si>
  <si>
    <t>Local Time</t>
  </si>
  <si>
    <t>OTF_pointing.pako</t>
  </si>
  <si>
    <t>3C84</t>
  </si>
  <si>
    <t>Pointing</t>
  </si>
  <si>
    <t>Any</t>
  </si>
  <si>
    <t>OTF_geometry.pako</t>
  </si>
  <si>
    <t>3C111</t>
  </si>
  <si>
    <t>OTF_10x10.pako</t>
  </si>
  <si>
    <t>OJ287</t>
  </si>
  <si>
    <t>OTF_5x5.pako</t>
  </si>
  <si>
    <t>J0923+392</t>
  </si>
  <si>
    <t>OTF_deep_field.pako</t>
  </si>
  <si>
    <t>B0954+658</t>
  </si>
  <si>
    <t>OTF_faint_source.pako</t>
  </si>
  <si>
    <t>B1039+811</t>
  </si>
  <si>
    <t>OTF_sz.pako</t>
  </si>
  <si>
    <t>3C273</t>
  </si>
  <si>
    <t>OTF_ps.pako</t>
  </si>
  <si>
    <t>B1418+546</t>
  </si>
  <si>
    <t>3C345</t>
  </si>
  <si>
    <t>number good pixels</t>
  </si>
  <si>
    <t>3C454.3</t>
  </si>
  <si>
    <t>Array size (arcsec^2)</t>
  </si>
  <si>
    <t>MWC349</t>
  </si>
  <si>
    <t>2(17-10)</t>
  </si>
  <si>
    <t>Script map size (arcsec^2)</t>
  </si>
  <si>
    <t>IRC10216</t>
  </si>
  <si>
    <t>Secondary cal</t>
  </si>
  <si>
    <t>2x2</t>
  </si>
  <si>
    <t>3(17-10) + 2(19-10)</t>
  </si>
  <si>
    <t>IRC10240</t>
  </si>
  <si>
    <t>DR21-OH</t>
  </si>
  <si>
    <t>Galactic extended</t>
  </si>
  <si>
    <t>1(20-10) + 1(22-10)</t>
  </si>
  <si>
    <t>DR21</t>
  </si>
  <si>
    <t>3x3</t>
  </si>
  <si>
    <t>Engineering</t>
  </si>
  <si>
    <t>1(20-10)</t>
  </si>
  <si>
    <t>CasA</t>
  </si>
  <si>
    <t>10x10</t>
  </si>
  <si>
    <t>Science 1mm</t>
  </si>
  <si>
    <t>SN1181</t>
  </si>
  <si>
    <t>Science</t>
  </si>
  <si>
    <t>4(20-10) + 2(22-10)</t>
  </si>
  <si>
    <t>NGC1333</t>
  </si>
  <si>
    <t>5x5</t>
  </si>
  <si>
    <t>2(23-10)</t>
  </si>
  <si>
    <t>Crab</t>
  </si>
  <si>
    <t>2(19-10)</t>
  </si>
  <si>
    <t>Horsehead</t>
  </si>
  <si>
    <t>6x6</t>
  </si>
  <si>
    <t>Science 2mm</t>
  </si>
  <si>
    <t>mean integration time of inner map</t>
  </si>
  <si>
    <t>NGC2023</t>
  </si>
  <si>
    <t xml:space="preserve"> (crop @ map size)</t>
  </si>
  <si>
    <t>OrionLBS23SM</t>
  </si>
  <si>
    <t>4(22-10)</t>
  </si>
  <si>
    <t>NGC2071</t>
  </si>
  <si>
    <t>5(22-10)</t>
  </si>
  <si>
    <t>NGC2268</t>
  </si>
  <si>
    <t>5(21-10)</t>
  </si>
  <si>
    <t>NGC7538</t>
  </si>
  <si>
    <t>Galactic compact</t>
  </si>
  <si>
    <t>2x1.3</t>
  </si>
  <si>
    <t>CepA</t>
  </si>
  <si>
    <t>FTTau</t>
  </si>
  <si>
    <t>3(19-10)</t>
  </si>
  <si>
    <t>DHTau</t>
  </si>
  <si>
    <t>B18</t>
  </si>
  <si>
    <t>mean integration time of outer map</t>
  </si>
  <si>
    <t>GKTau</t>
  </si>
  <si>
    <t xml:space="preserve"> (map + array size)</t>
  </si>
  <si>
    <t>AATau</t>
  </si>
  <si>
    <t>6(20-10)</t>
  </si>
  <si>
    <t>DOTau</t>
  </si>
  <si>
    <t>DRTau</t>
  </si>
  <si>
    <t>7(19-10)</t>
  </si>
  <si>
    <t>GMAur</t>
  </si>
  <si>
    <t>V836Tau</t>
  </si>
  <si>
    <t>NGC1068</t>
  </si>
  <si>
    <t>Galaxy</t>
  </si>
  <si>
    <t>Good</t>
  </si>
  <si>
    <t>4(19-10)</t>
  </si>
  <si>
    <t>M82</t>
  </si>
  <si>
    <t>NGC3690</t>
  </si>
  <si>
    <t>M87</t>
  </si>
  <si>
    <t>Arp220</t>
  </si>
  <si>
    <t>CygA</t>
  </si>
  <si>
    <t>Radio Galaxy</t>
  </si>
  <si>
    <t>OTF_5x5.pako et 2x2</t>
  </si>
  <si>
    <t>2(20-10)</t>
  </si>
  <si>
    <t>MM18423</t>
  </si>
  <si>
    <t>Lensed galaxy</t>
  </si>
  <si>
    <t>SMMJ2135</t>
  </si>
  <si>
    <t>XMM_M5</t>
  </si>
  <si>
    <t>SMM Galaxy</t>
  </si>
  <si>
    <t>XMM_17</t>
  </si>
  <si>
    <t>6(18-10) + 9(21-10)</t>
  </si>
  <si>
    <t>XMM_M6</t>
  </si>
  <si>
    <t>9(22-10)</t>
  </si>
  <si>
    <t>XMM_M2</t>
  </si>
  <si>
    <t>12(20-10) + 12(21-10)</t>
  </si>
  <si>
    <t>4CO5.19</t>
  </si>
  <si>
    <t>HSO_ID017</t>
  </si>
  <si>
    <t>HSO_ID081</t>
  </si>
  <si>
    <t>F10214+4724</t>
  </si>
  <si>
    <t>ULIRG</t>
  </si>
  <si>
    <t>10(19-10)</t>
  </si>
  <si>
    <t>HATLAS1</t>
  </si>
  <si>
    <t>HATLAS2</t>
  </si>
  <si>
    <t>APM08279</t>
  </si>
  <si>
    <t>12(20-10)</t>
  </si>
  <si>
    <t>M2228</t>
  </si>
  <si>
    <t>SZ cluster</t>
  </si>
  <si>
    <t>6x4</t>
  </si>
  <si>
    <t>OTF_SZ.pako</t>
  </si>
  <si>
    <t>7(19-10) + 7(21-10) + 3(23-10)</t>
  </si>
  <si>
    <t>SXDF</t>
  </si>
  <si>
    <t>Deep field</t>
  </si>
  <si>
    <t>A665</t>
  </si>
  <si>
    <t>10(20-10) + 11(21-10)</t>
  </si>
  <si>
    <t>GN20</t>
  </si>
  <si>
    <t>GRB111022 B</t>
  </si>
  <si>
    <t>Gamma ray burst</t>
  </si>
  <si>
    <t>2.2 x 1.5</t>
  </si>
  <si>
    <t>OTF_ps</t>
  </si>
  <si>
    <t>7(23-10)</t>
  </si>
  <si>
    <t>Total</t>
  </si>
  <si>
    <t>hours</t>
  </si>
  <si>
    <t>Map (per pixel)</t>
  </si>
  <si>
    <t>Remaining</t>
  </si>
  <si>
    <t>On sky (total array)</t>
  </si>
  <si>
    <t>...[fraction on map]</t>
  </si>
  <si>
    <t>...[1]</t>
  </si>
  <si>
    <t>Integration time (min) = [total – overheads] * 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</si>
</sst>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3" width="8.8515625" style="0" customWidth="1"/>
    <col min="4" max="4" width="9.7109375" style="1" customWidth="1"/>
    <col min="5" max="5" width="10.28125" style="1" customWidth="1"/>
    <col min="6" max="6" width="21.421875" style="1" customWidth="1"/>
    <col min="7" max="7" width="8.7109375" style="1" customWidth="1"/>
    <col min="8" max="8" width="11.421875" style="1" customWidth="1"/>
    <col min="9" max="9" width="8.8515625" style="0" customWidth="1"/>
    <col min="10" max="10" width="8.28125" style="0" customWidth="1"/>
    <col min="11" max="11" width="11.8515625" style="0" customWidth="1"/>
    <col min="12" max="12" width="12.57421875" style="0" customWidth="1"/>
    <col min="13" max="13" width="13.421875" style="0" customWidth="1"/>
    <col min="14" max="14" width="25.421875" style="0" customWidth="1"/>
    <col min="15" max="15" width="16.28125" style="0" customWidth="1"/>
    <col min="16" max="16" width="16.8515625" style="0" customWidth="1"/>
    <col min="17" max="17" width="9.57421875" style="2" customWidth="1"/>
    <col min="18" max="18" width="3.140625" style="2" customWidth="1"/>
    <col min="19" max="19" width="20.421875" style="0" customWidth="1"/>
    <col min="20" max="16384" width="11.57421875" style="0" customWidth="1"/>
  </cols>
  <sheetData>
    <row r="1" spans="1:19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8</v>
      </c>
      <c r="L1" t="s">
        <v>9</v>
      </c>
      <c r="M1" t="s">
        <v>10</v>
      </c>
      <c r="N1" t="s">
        <v>11</v>
      </c>
      <c r="O1" t="s">
        <v>146</v>
      </c>
      <c r="P1" t="s">
        <v>148</v>
      </c>
      <c r="Q1" s="2" t="s">
        <v>147</v>
      </c>
      <c r="S1" t="s">
        <v>12</v>
      </c>
    </row>
    <row r="2" spans="4:20" ht="12.75">
      <c r="D2" s="1" t="s">
        <v>13</v>
      </c>
      <c r="E2" s="1" t="s">
        <v>14</v>
      </c>
      <c r="H2" s="1" t="s">
        <v>15</v>
      </c>
      <c r="I2" t="s">
        <v>16</v>
      </c>
      <c r="J2" t="s">
        <v>16</v>
      </c>
      <c r="K2" t="s">
        <v>17</v>
      </c>
      <c r="L2" t="s">
        <v>17</v>
      </c>
      <c r="O2" t="s">
        <v>151</v>
      </c>
      <c r="S2" s="3" t="s">
        <v>18</v>
      </c>
      <c r="T2" s="4">
        <f>22*10/60</f>
        <v>3.6666666666666665</v>
      </c>
    </row>
    <row r="3" spans="1:20" ht="12.75">
      <c r="A3" t="s">
        <v>19</v>
      </c>
      <c r="B3" t="s">
        <v>20</v>
      </c>
      <c r="C3" t="s">
        <v>21</v>
      </c>
      <c r="F3" s="1" t="s">
        <v>18</v>
      </c>
      <c r="G3" s="1">
        <v>1</v>
      </c>
      <c r="I3">
        <v>2100</v>
      </c>
      <c r="J3">
        <v>600</v>
      </c>
      <c r="K3" s="5">
        <f aca="true" t="shared" si="0" ref="K3:K12">I3+200</f>
        <v>2300</v>
      </c>
      <c r="L3" s="5">
        <f aca="true" t="shared" si="1" ref="L3:L12">J3+200</f>
        <v>800</v>
      </c>
      <c r="M3" s="5"/>
      <c r="O3" s="1" t="s">
        <v>149</v>
      </c>
      <c r="P3" s="1" t="s">
        <v>150</v>
      </c>
      <c r="S3" s="3" t="s">
        <v>22</v>
      </c>
      <c r="T3" s="4">
        <f>56*20/60</f>
        <v>18.666666666666668</v>
      </c>
    </row>
    <row r="4" spans="1:20" ht="12.75">
      <c r="A4" t="s">
        <v>23</v>
      </c>
      <c r="B4" t="s">
        <v>20</v>
      </c>
      <c r="C4" t="s">
        <v>21</v>
      </c>
      <c r="F4" s="1" t="s">
        <v>18</v>
      </c>
      <c r="G4" s="1">
        <v>1</v>
      </c>
      <c r="I4">
        <v>2200</v>
      </c>
      <c r="J4">
        <v>700</v>
      </c>
      <c r="K4" s="5">
        <f t="shared" si="0"/>
        <v>2400</v>
      </c>
      <c r="L4" s="5">
        <f t="shared" si="1"/>
        <v>900</v>
      </c>
      <c r="M4" s="5"/>
      <c r="S4" s="3" t="s">
        <v>24</v>
      </c>
      <c r="T4" s="4">
        <f>41*30/60</f>
        <v>20.5</v>
      </c>
    </row>
    <row r="5" spans="1:20" ht="12.75">
      <c r="A5" t="s">
        <v>25</v>
      </c>
      <c r="B5" t="s">
        <v>20</v>
      </c>
      <c r="C5" t="s">
        <v>21</v>
      </c>
      <c r="F5" s="1" t="s">
        <v>18</v>
      </c>
      <c r="G5" s="1">
        <v>1</v>
      </c>
      <c r="I5">
        <v>400</v>
      </c>
      <c r="J5">
        <v>1000</v>
      </c>
      <c r="K5" s="5">
        <f t="shared" si="0"/>
        <v>600</v>
      </c>
      <c r="L5" s="5">
        <f t="shared" si="1"/>
        <v>1200</v>
      </c>
      <c r="M5" s="5"/>
      <c r="S5" s="3" t="s">
        <v>26</v>
      </c>
      <c r="T5" s="4">
        <f>51*20/60</f>
        <v>17</v>
      </c>
    </row>
    <row r="6" spans="1:20" ht="12.75">
      <c r="A6" t="s">
        <v>27</v>
      </c>
      <c r="B6" t="s">
        <v>20</v>
      </c>
      <c r="C6" t="s">
        <v>21</v>
      </c>
      <c r="F6" s="1" t="s">
        <v>18</v>
      </c>
      <c r="G6" s="1">
        <v>1</v>
      </c>
      <c r="I6">
        <v>400</v>
      </c>
      <c r="J6">
        <v>1000</v>
      </c>
      <c r="K6" s="5">
        <f t="shared" si="0"/>
        <v>600</v>
      </c>
      <c r="L6" s="5">
        <f t="shared" si="1"/>
        <v>1200</v>
      </c>
      <c r="M6" s="5"/>
      <c r="S6" s="3" t="s">
        <v>28</v>
      </c>
      <c r="T6" s="4">
        <f>61*20/60</f>
        <v>20.333333333333332</v>
      </c>
    </row>
    <row r="7" spans="1:20" ht="12.75">
      <c r="A7" t="s">
        <v>29</v>
      </c>
      <c r="B7" t="s">
        <v>20</v>
      </c>
      <c r="C7" t="s">
        <v>21</v>
      </c>
      <c r="F7" s="1" t="s">
        <v>18</v>
      </c>
      <c r="G7" s="1">
        <v>1</v>
      </c>
      <c r="I7">
        <v>400</v>
      </c>
      <c r="J7">
        <v>1100</v>
      </c>
      <c r="K7" s="5">
        <f t="shared" si="0"/>
        <v>600</v>
      </c>
      <c r="L7" s="5">
        <f t="shared" si="1"/>
        <v>1300</v>
      </c>
      <c r="M7" s="5"/>
      <c r="S7" s="1" t="s">
        <v>30</v>
      </c>
      <c r="T7" s="4">
        <f>21*12/60</f>
        <v>4.2</v>
      </c>
    </row>
    <row r="8" spans="1:20" ht="12.75">
      <c r="A8" t="s">
        <v>31</v>
      </c>
      <c r="B8" t="s">
        <v>20</v>
      </c>
      <c r="C8" t="s">
        <v>21</v>
      </c>
      <c r="F8" s="1" t="s">
        <v>18</v>
      </c>
      <c r="G8" s="1">
        <v>1</v>
      </c>
      <c r="I8">
        <v>500</v>
      </c>
      <c r="J8">
        <v>1200</v>
      </c>
      <c r="K8" s="5">
        <f t="shared" si="0"/>
        <v>700</v>
      </c>
      <c r="L8" s="5">
        <f t="shared" si="1"/>
        <v>1400</v>
      </c>
      <c r="M8" s="5"/>
      <c r="S8" t="s">
        <v>32</v>
      </c>
      <c r="T8" s="4">
        <f>41*20/60</f>
        <v>13.666666666666666</v>
      </c>
    </row>
    <row r="9" spans="1:20" ht="12.75">
      <c r="A9" t="s">
        <v>33</v>
      </c>
      <c r="B9" t="s">
        <v>20</v>
      </c>
      <c r="C9" t="s">
        <v>21</v>
      </c>
      <c r="F9" s="1" t="s">
        <v>18</v>
      </c>
      <c r="G9" s="1">
        <v>1</v>
      </c>
      <c r="I9">
        <v>800</v>
      </c>
      <c r="J9">
        <v>1200</v>
      </c>
      <c r="K9" s="5">
        <f t="shared" si="0"/>
        <v>1000</v>
      </c>
      <c r="L9" s="5">
        <f t="shared" si="1"/>
        <v>1400</v>
      </c>
      <c r="M9" s="5"/>
      <c r="S9" t="s">
        <v>34</v>
      </c>
      <c r="T9" s="4">
        <f>19*14/60</f>
        <v>4.433333333333334</v>
      </c>
    </row>
    <row r="10" spans="1:13" ht="12.75">
      <c r="A10" t="s">
        <v>35</v>
      </c>
      <c r="B10" t="s">
        <v>20</v>
      </c>
      <c r="C10" t="s">
        <v>21</v>
      </c>
      <c r="F10" s="1" t="s">
        <v>18</v>
      </c>
      <c r="G10" s="1">
        <v>1</v>
      </c>
      <c r="I10">
        <v>700</v>
      </c>
      <c r="J10">
        <v>1200</v>
      </c>
      <c r="K10" s="5">
        <f t="shared" si="0"/>
        <v>900</v>
      </c>
      <c r="L10" s="5">
        <f t="shared" si="1"/>
        <v>1400</v>
      </c>
      <c r="M10" s="5"/>
    </row>
    <row r="11" spans="1:20" ht="12.75">
      <c r="A11" t="s">
        <v>36</v>
      </c>
      <c r="B11" t="s">
        <v>20</v>
      </c>
      <c r="C11" t="s">
        <v>21</v>
      </c>
      <c r="F11" s="1" t="s">
        <v>18</v>
      </c>
      <c r="G11" s="1">
        <v>1</v>
      </c>
      <c r="I11">
        <v>1000</v>
      </c>
      <c r="J11">
        <v>1200</v>
      </c>
      <c r="K11" s="5">
        <f t="shared" si="0"/>
        <v>1200</v>
      </c>
      <c r="L11" s="5">
        <f t="shared" si="1"/>
        <v>1400</v>
      </c>
      <c r="M11" s="5"/>
      <c r="S11" t="s">
        <v>37</v>
      </c>
      <c r="T11">
        <v>100</v>
      </c>
    </row>
    <row r="12" spans="1:20" ht="12.75">
      <c r="A12" t="s">
        <v>38</v>
      </c>
      <c r="B12" t="s">
        <v>20</v>
      </c>
      <c r="C12" t="s">
        <v>21</v>
      </c>
      <c r="F12" s="1" t="s">
        <v>18</v>
      </c>
      <c r="G12" s="1">
        <v>1</v>
      </c>
      <c r="I12">
        <v>2000</v>
      </c>
      <c r="J12">
        <v>2400</v>
      </c>
      <c r="K12" s="5">
        <f t="shared" si="0"/>
        <v>2200</v>
      </c>
      <c r="L12" s="5">
        <f t="shared" si="1"/>
        <v>2600</v>
      </c>
      <c r="M12" s="5"/>
      <c r="S12" t="s">
        <v>39</v>
      </c>
      <c r="T12" s="6">
        <f>(T11/132)*140^2*PI()/4</f>
        <v>11661.972729234838</v>
      </c>
    </row>
    <row r="13" spans="1:17" ht="12.75">
      <c r="A13" t="s">
        <v>40</v>
      </c>
      <c r="B13" t="s">
        <v>20</v>
      </c>
      <c r="C13" t="s">
        <v>21</v>
      </c>
      <c r="D13" s="1">
        <v>5</v>
      </c>
      <c r="F13" s="1" t="s">
        <v>18</v>
      </c>
      <c r="G13" s="1">
        <v>1</v>
      </c>
      <c r="I13">
        <v>2000</v>
      </c>
      <c r="J13">
        <v>2300</v>
      </c>
      <c r="K13" s="5">
        <f>I13+200</f>
        <v>2200</v>
      </c>
      <c r="L13" s="5">
        <v>100</v>
      </c>
      <c r="M13" s="5"/>
      <c r="N13" t="s">
        <v>41</v>
      </c>
      <c r="O13" s="2">
        <f>2*T$26</f>
        <v>7.333333333333333</v>
      </c>
      <c r="P13" s="2">
        <f>2*T$2</f>
        <v>7.333333333333333</v>
      </c>
      <c r="Q13" s="2">
        <f>MAX(0,D13-P13)</f>
        <v>0</v>
      </c>
    </row>
    <row r="14" spans="11:19" ht="12.75">
      <c r="K14" s="5"/>
      <c r="L14" s="5"/>
      <c r="M14" s="5"/>
      <c r="S14" t="s">
        <v>42</v>
      </c>
    </row>
    <row r="15" spans="1:20" ht="12.75">
      <c r="A15" t="s">
        <v>43</v>
      </c>
      <c r="B15" t="s">
        <v>44</v>
      </c>
      <c r="C15" t="s">
        <v>21</v>
      </c>
      <c r="D15" s="1">
        <v>5</v>
      </c>
      <c r="E15" s="1" t="s">
        <v>45</v>
      </c>
      <c r="F15" s="1" t="s">
        <v>18</v>
      </c>
      <c r="G15" s="1">
        <v>1</v>
      </c>
      <c r="H15" s="1">
        <v>5</v>
      </c>
      <c r="I15">
        <v>500</v>
      </c>
      <c r="J15">
        <v>1200</v>
      </c>
      <c r="K15" s="5">
        <f>I15+200</f>
        <v>700</v>
      </c>
      <c r="L15" s="5">
        <f>J15+200</f>
        <v>1400</v>
      </c>
      <c r="M15" s="5"/>
      <c r="N15" t="s">
        <v>46</v>
      </c>
      <c r="O15" s="2">
        <f>5*T$26</f>
        <v>18.333333333333332</v>
      </c>
      <c r="P15" s="2">
        <f>5*T$2</f>
        <v>18.333333333333332</v>
      </c>
      <c r="Q15" s="2">
        <f>MAX(0,D15-P15)</f>
        <v>0</v>
      </c>
      <c r="S15" s="3" t="s">
        <v>18</v>
      </c>
      <c r="T15" s="6">
        <f>100*4*22</f>
        <v>8800</v>
      </c>
    </row>
    <row r="16" spans="1:20" ht="12.75">
      <c r="A16" t="s">
        <v>47</v>
      </c>
      <c r="B16" t="s">
        <v>44</v>
      </c>
      <c r="C16" t="s">
        <v>21</v>
      </c>
      <c r="D16" s="1">
        <v>5</v>
      </c>
      <c r="E16" s="1" t="s">
        <v>45</v>
      </c>
      <c r="F16" s="1" t="s">
        <v>18</v>
      </c>
      <c r="G16" s="1">
        <v>1</v>
      </c>
      <c r="H16" s="1">
        <v>5</v>
      </c>
      <c r="I16">
        <v>500</v>
      </c>
      <c r="J16">
        <v>1200</v>
      </c>
      <c r="K16" s="5">
        <f>I16+200</f>
        <v>700</v>
      </c>
      <c r="L16" s="5">
        <f>J16+200</f>
        <v>1400</v>
      </c>
      <c r="M16" s="5"/>
      <c r="S16" s="3" t="s">
        <v>22</v>
      </c>
      <c r="T16" s="6">
        <f>300*4*56</f>
        <v>67200</v>
      </c>
    </row>
    <row r="17" spans="19:20" ht="12.75">
      <c r="S17" s="3" t="s">
        <v>24</v>
      </c>
      <c r="T17" s="6">
        <f>600*15*41</f>
        <v>369000</v>
      </c>
    </row>
    <row r="18" spans="1:20" ht="12.75">
      <c r="A18" t="s">
        <v>48</v>
      </c>
      <c r="B18" t="s">
        <v>49</v>
      </c>
      <c r="C18" t="s">
        <v>21</v>
      </c>
      <c r="D18" s="1">
        <v>30</v>
      </c>
      <c r="E18"/>
      <c r="F18" s="1" t="s">
        <v>22</v>
      </c>
      <c r="G18"/>
      <c r="H18"/>
      <c r="N18" t="s">
        <v>50</v>
      </c>
      <c r="O18" s="2">
        <f>2*T$27</f>
        <v>6.4788737384637995</v>
      </c>
      <c r="P18" s="2">
        <f>2*T$4</f>
        <v>41</v>
      </c>
      <c r="Q18" s="2">
        <f>MAX(0,D18-P18)</f>
        <v>0</v>
      </c>
      <c r="S18" s="3" t="s">
        <v>26</v>
      </c>
      <c r="T18" s="6">
        <f>300*6*51</f>
        <v>91800</v>
      </c>
    </row>
    <row r="19" spans="1:20" ht="12.75">
      <c r="A19" t="s">
        <v>51</v>
      </c>
      <c r="B19" t="s">
        <v>49</v>
      </c>
      <c r="C19" t="s">
        <v>21</v>
      </c>
      <c r="D19" s="1">
        <v>30</v>
      </c>
      <c r="E19" s="1" t="s">
        <v>52</v>
      </c>
      <c r="F19" s="1" t="s">
        <v>22</v>
      </c>
      <c r="G19" s="1">
        <v>2</v>
      </c>
      <c r="H19" s="1">
        <v>1</v>
      </c>
      <c r="I19">
        <v>2000</v>
      </c>
      <c r="J19">
        <v>2300</v>
      </c>
      <c r="K19" s="5">
        <f aca="true" t="shared" si="2" ref="K19:K28">I19+200</f>
        <v>2200</v>
      </c>
      <c r="L19" s="5">
        <f aca="true" t="shared" si="3" ref="L19:L28">J19+200</f>
        <v>2500</v>
      </c>
      <c r="M19" s="5" t="s">
        <v>53</v>
      </c>
      <c r="N19" t="s">
        <v>54</v>
      </c>
      <c r="O19" s="2">
        <f>1*T$27</f>
        <v>3.2394368692318998</v>
      </c>
      <c r="P19" s="2">
        <f>1*T$3</f>
        <v>18.666666666666668</v>
      </c>
      <c r="Q19" s="2">
        <f>MAX(0,D19-P19)</f>
        <v>11.333333333333332</v>
      </c>
      <c r="S19" s="3" t="s">
        <v>28</v>
      </c>
      <c r="T19" s="6">
        <f>360*6*61</f>
        <v>131760</v>
      </c>
    </row>
    <row r="20" spans="1:20" ht="12.75">
      <c r="A20" t="s">
        <v>55</v>
      </c>
      <c r="B20" t="s">
        <v>49</v>
      </c>
      <c r="C20" t="s">
        <v>21</v>
      </c>
      <c r="D20" s="1">
        <v>48</v>
      </c>
      <c r="E20" s="1" t="s">
        <v>56</v>
      </c>
      <c r="F20" s="1" t="s">
        <v>24</v>
      </c>
      <c r="G20" s="1">
        <v>2</v>
      </c>
      <c r="H20" s="1">
        <v>4</v>
      </c>
      <c r="I20">
        <v>2000</v>
      </c>
      <c r="J20">
        <v>200</v>
      </c>
      <c r="K20" s="5">
        <f t="shared" si="2"/>
        <v>2200</v>
      </c>
      <c r="L20" s="5">
        <f t="shared" si="3"/>
        <v>400</v>
      </c>
      <c r="M20" s="5" t="s">
        <v>57</v>
      </c>
      <c r="S20" s="1" t="s">
        <v>30</v>
      </c>
      <c r="T20" s="6">
        <f>120*4*21</f>
        <v>10080</v>
      </c>
    </row>
    <row r="21" spans="1:20" ht="12.75">
      <c r="A21" t="s">
        <v>58</v>
      </c>
      <c r="B21" t="s">
        <v>49</v>
      </c>
      <c r="C21" t="s">
        <v>21</v>
      </c>
      <c r="D21" s="1">
        <v>72</v>
      </c>
      <c r="E21" s="1" t="s">
        <v>56</v>
      </c>
      <c r="F21" s="1" t="s">
        <v>24</v>
      </c>
      <c r="G21" s="1">
        <v>3</v>
      </c>
      <c r="H21" s="1">
        <v>4</v>
      </c>
      <c r="I21">
        <v>2100</v>
      </c>
      <c r="J21">
        <v>500</v>
      </c>
      <c r="K21" s="5">
        <f t="shared" si="2"/>
        <v>2300</v>
      </c>
      <c r="L21" s="5">
        <f t="shared" si="3"/>
        <v>700</v>
      </c>
      <c r="M21" s="5" t="s">
        <v>59</v>
      </c>
      <c r="N21" t="s">
        <v>60</v>
      </c>
      <c r="O21" s="2">
        <f>6*T$28</f>
        <v>3.8873242430782797</v>
      </c>
      <c r="P21" s="2">
        <f>6*T$4</f>
        <v>123</v>
      </c>
      <c r="Q21" s="2">
        <f>MAX(0,D21-P21)</f>
        <v>0</v>
      </c>
      <c r="S21" t="s">
        <v>32</v>
      </c>
      <c r="T21">
        <f>360*6*41</f>
        <v>88560</v>
      </c>
    </row>
    <row r="22" spans="1:20" ht="12.75">
      <c r="A22" t="s">
        <v>61</v>
      </c>
      <c r="B22" t="s">
        <v>49</v>
      </c>
      <c r="C22" t="s">
        <v>21</v>
      </c>
      <c r="D22" s="1">
        <v>40</v>
      </c>
      <c r="E22" s="1" t="s">
        <v>62</v>
      </c>
      <c r="F22" s="1" t="s">
        <v>26</v>
      </c>
      <c r="G22" s="1">
        <v>2</v>
      </c>
      <c r="H22" s="1">
        <v>4</v>
      </c>
      <c r="I22">
        <v>2200</v>
      </c>
      <c r="J22">
        <v>500</v>
      </c>
      <c r="K22" s="5">
        <f t="shared" si="2"/>
        <v>2400</v>
      </c>
      <c r="L22" s="5">
        <f t="shared" si="3"/>
        <v>700</v>
      </c>
      <c r="M22" s="5" t="s">
        <v>59</v>
      </c>
      <c r="N22" t="s">
        <v>63</v>
      </c>
      <c r="O22" s="2">
        <f>2*T$29</f>
        <v>4.319249158975866</v>
      </c>
      <c r="P22" s="2">
        <f>2*T$5</f>
        <v>34</v>
      </c>
      <c r="Q22" s="2">
        <f>MAX(0,D22-P22)</f>
        <v>6</v>
      </c>
      <c r="S22" t="s">
        <v>34</v>
      </c>
      <c r="T22">
        <f>140*5*19</f>
        <v>13300</v>
      </c>
    </row>
    <row r="23" spans="1:17" ht="12.75">
      <c r="A23" t="s">
        <v>64</v>
      </c>
      <c r="B23" t="s">
        <v>49</v>
      </c>
      <c r="C23" t="s">
        <v>21</v>
      </c>
      <c r="D23" s="1">
        <v>48</v>
      </c>
      <c r="E23" s="1" t="s">
        <v>56</v>
      </c>
      <c r="F23" s="1" t="s">
        <v>24</v>
      </c>
      <c r="G23" s="1">
        <v>2</v>
      </c>
      <c r="H23" s="1">
        <v>4</v>
      </c>
      <c r="I23">
        <v>100</v>
      </c>
      <c r="J23">
        <v>700</v>
      </c>
      <c r="K23" s="5">
        <f t="shared" si="2"/>
        <v>300</v>
      </c>
      <c r="L23" s="5">
        <f t="shared" si="3"/>
        <v>900</v>
      </c>
      <c r="M23" s="5" t="s">
        <v>57</v>
      </c>
      <c r="N23" t="s">
        <v>65</v>
      </c>
      <c r="O23" s="2">
        <f>2*T$28</f>
        <v>1.29577474769276</v>
      </c>
      <c r="P23" s="2">
        <f>2*T$4</f>
        <v>41</v>
      </c>
      <c r="Q23" s="2">
        <f>MAX(0,D23-P23)</f>
        <v>7</v>
      </c>
    </row>
    <row r="24" spans="1:19" ht="12.75">
      <c r="A24" t="s">
        <v>66</v>
      </c>
      <c r="B24" t="s">
        <v>49</v>
      </c>
      <c r="C24" t="s">
        <v>21</v>
      </c>
      <c r="D24" s="1">
        <v>72</v>
      </c>
      <c r="E24" s="1" t="s">
        <v>67</v>
      </c>
      <c r="F24" s="1" t="s">
        <v>28</v>
      </c>
      <c r="G24" s="1">
        <v>3</v>
      </c>
      <c r="H24" s="1">
        <v>1.5</v>
      </c>
      <c r="I24">
        <v>200</v>
      </c>
      <c r="J24">
        <v>600</v>
      </c>
      <c r="K24" s="5">
        <f t="shared" si="2"/>
        <v>400</v>
      </c>
      <c r="L24" s="5">
        <f t="shared" si="3"/>
        <v>800</v>
      </c>
      <c r="M24" s="5" t="s">
        <v>68</v>
      </c>
      <c r="S24" t="s">
        <v>69</v>
      </c>
    </row>
    <row r="25" spans="1:19" ht="12.75">
      <c r="A25" t="s">
        <v>70</v>
      </c>
      <c r="B25" t="s">
        <v>49</v>
      </c>
      <c r="C25" t="s">
        <v>21</v>
      </c>
      <c r="D25" s="1">
        <v>15</v>
      </c>
      <c r="E25" s="1" t="s">
        <v>45</v>
      </c>
      <c r="F25" s="1" t="s">
        <v>30</v>
      </c>
      <c r="G25" s="1">
        <v>3</v>
      </c>
      <c r="H25" s="1">
        <v>1</v>
      </c>
      <c r="I25">
        <v>200</v>
      </c>
      <c r="J25">
        <v>600</v>
      </c>
      <c r="K25" s="5">
        <f t="shared" si="2"/>
        <v>400</v>
      </c>
      <c r="L25" s="5">
        <f t="shared" si="3"/>
        <v>800</v>
      </c>
      <c r="M25" s="5" t="s">
        <v>59</v>
      </c>
      <c r="N25" t="s">
        <v>65</v>
      </c>
      <c r="O25" s="2">
        <f>2*T$31</f>
        <v>8.4</v>
      </c>
      <c r="P25" s="2">
        <f>2*T$7</f>
        <v>8.4</v>
      </c>
      <c r="Q25" s="2">
        <f>MAX(0,D25-P25)</f>
        <v>6.6</v>
      </c>
      <c r="S25" t="s">
        <v>71</v>
      </c>
    </row>
    <row r="26" spans="1:20" ht="12.75">
      <c r="A26" t="s">
        <v>72</v>
      </c>
      <c r="B26" t="s">
        <v>49</v>
      </c>
      <c r="C26" t="s">
        <v>21</v>
      </c>
      <c r="D26" s="1">
        <v>15</v>
      </c>
      <c r="E26" s="1" t="s">
        <v>45</v>
      </c>
      <c r="F26" s="1" t="s">
        <v>30</v>
      </c>
      <c r="G26" s="1">
        <v>3</v>
      </c>
      <c r="H26" s="1">
        <v>1</v>
      </c>
      <c r="I26">
        <v>200</v>
      </c>
      <c r="J26">
        <v>600</v>
      </c>
      <c r="K26" s="5">
        <f t="shared" si="2"/>
        <v>400</v>
      </c>
      <c r="L26" s="5">
        <f t="shared" si="3"/>
        <v>800</v>
      </c>
      <c r="M26" s="5" t="s">
        <v>59</v>
      </c>
      <c r="N26" t="s">
        <v>73</v>
      </c>
      <c r="O26" s="2">
        <f>4*T$31</f>
        <v>16.8</v>
      </c>
      <c r="P26" s="2">
        <f>4*T$7</f>
        <v>16.8</v>
      </c>
      <c r="Q26" s="2">
        <f>MAX(0,D26-P26)</f>
        <v>0</v>
      </c>
      <c r="S26" s="3" t="s">
        <v>18</v>
      </c>
      <c r="T26" s="4">
        <f aca="true" t="shared" si="4" ref="T26:T33">T2*MIN(T$12,T15)/T15</f>
        <v>3.6666666666666665</v>
      </c>
    </row>
    <row r="27" spans="1:20" ht="12.75">
      <c r="A27" t="s">
        <v>74</v>
      </c>
      <c r="B27" t="s">
        <v>49</v>
      </c>
      <c r="C27" t="s">
        <v>21</v>
      </c>
      <c r="D27" s="1">
        <v>15</v>
      </c>
      <c r="E27" s="1" t="s">
        <v>45</v>
      </c>
      <c r="F27" s="1" t="s">
        <v>30</v>
      </c>
      <c r="G27" s="1">
        <v>3</v>
      </c>
      <c r="H27" s="1">
        <v>1</v>
      </c>
      <c r="I27">
        <v>200</v>
      </c>
      <c r="J27">
        <v>600</v>
      </c>
      <c r="K27" s="5">
        <f t="shared" si="2"/>
        <v>400</v>
      </c>
      <c r="L27" s="5">
        <f t="shared" si="3"/>
        <v>800</v>
      </c>
      <c r="M27" s="5" t="s">
        <v>59</v>
      </c>
      <c r="N27" t="s">
        <v>75</v>
      </c>
      <c r="O27" s="2">
        <f>5*T$31</f>
        <v>21</v>
      </c>
      <c r="P27" s="2">
        <f>5*T$7</f>
        <v>21</v>
      </c>
      <c r="Q27" s="2">
        <f>MAX(0,D27-P27)</f>
        <v>0</v>
      </c>
      <c r="S27" s="3" t="s">
        <v>22</v>
      </c>
      <c r="T27" s="4">
        <f t="shared" si="4"/>
        <v>3.2394368692318998</v>
      </c>
    </row>
    <row r="28" spans="1:20" ht="12.75">
      <c r="A28" t="s">
        <v>76</v>
      </c>
      <c r="B28" t="s">
        <v>49</v>
      </c>
      <c r="C28" t="s">
        <v>21</v>
      </c>
      <c r="D28" s="1">
        <v>120</v>
      </c>
      <c r="E28" s="1" t="s">
        <v>56</v>
      </c>
      <c r="F28" s="1" t="s">
        <v>24</v>
      </c>
      <c r="H28" s="1">
        <v>2</v>
      </c>
      <c r="I28">
        <v>200</v>
      </c>
      <c r="J28">
        <v>600</v>
      </c>
      <c r="K28" s="5">
        <f t="shared" si="2"/>
        <v>400</v>
      </c>
      <c r="L28" s="5">
        <f t="shared" si="3"/>
        <v>800</v>
      </c>
      <c r="M28" s="5" t="s">
        <v>59</v>
      </c>
      <c r="N28" t="s">
        <v>77</v>
      </c>
      <c r="O28" s="2">
        <f>5*T$28</f>
        <v>3.2394368692318998</v>
      </c>
      <c r="P28" s="2">
        <f>5*T$4</f>
        <v>102.5</v>
      </c>
      <c r="Q28" s="2">
        <f>MAX(0,D28-P28)</f>
        <v>17.5</v>
      </c>
      <c r="S28" s="3" t="s">
        <v>24</v>
      </c>
      <c r="T28" s="4">
        <f t="shared" si="4"/>
        <v>0.64788737384638</v>
      </c>
    </row>
    <row r="29" spans="4:20" ht="12.75">
      <c r="D29"/>
      <c r="E29"/>
      <c r="F29"/>
      <c r="G29"/>
      <c r="H29"/>
      <c r="S29" s="3" t="s">
        <v>26</v>
      </c>
      <c r="T29" s="4">
        <f t="shared" si="4"/>
        <v>2.159624579487933</v>
      </c>
    </row>
    <row r="30" spans="4:20" ht="12.75">
      <c r="D30"/>
      <c r="E30"/>
      <c r="F30"/>
      <c r="G30"/>
      <c r="H30"/>
      <c r="S30" s="3" t="s">
        <v>28</v>
      </c>
      <c r="T30" s="4">
        <f t="shared" si="4"/>
        <v>1.7996871495732774</v>
      </c>
    </row>
    <row r="31" spans="1:20" ht="12.75">
      <c r="A31" t="s">
        <v>78</v>
      </c>
      <c r="B31" t="s">
        <v>79</v>
      </c>
      <c r="C31" t="s">
        <v>21</v>
      </c>
      <c r="D31" s="1">
        <v>15</v>
      </c>
      <c r="E31" s="1" t="s">
        <v>80</v>
      </c>
      <c r="F31" s="1" t="s">
        <v>30</v>
      </c>
      <c r="G31" s="1">
        <v>3</v>
      </c>
      <c r="H31" s="1">
        <v>1</v>
      </c>
      <c r="I31">
        <v>2000</v>
      </c>
      <c r="J31">
        <v>200</v>
      </c>
      <c r="K31" s="5">
        <f aca="true" t="shared" si="5" ref="K31:K41">I31+200</f>
        <v>2200</v>
      </c>
      <c r="L31" s="5">
        <f aca="true" t="shared" si="6" ref="L31:L41">J31+200</f>
        <v>400</v>
      </c>
      <c r="M31" s="5" t="s">
        <v>53</v>
      </c>
      <c r="S31" s="1" t="s">
        <v>30</v>
      </c>
      <c r="T31" s="4">
        <f t="shared" si="4"/>
        <v>4.2</v>
      </c>
    </row>
    <row r="32" spans="1:20" ht="12.75">
      <c r="A32" t="s">
        <v>81</v>
      </c>
      <c r="B32" t="s">
        <v>79</v>
      </c>
      <c r="C32" t="s">
        <v>21</v>
      </c>
      <c r="D32" s="1">
        <v>15</v>
      </c>
      <c r="E32" s="1" t="s">
        <v>80</v>
      </c>
      <c r="F32" s="1" t="s">
        <v>30</v>
      </c>
      <c r="G32" s="1">
        <v>3</v>
      </c>
      <c r="H32" s="1">
        <v>1</v>
      </c>
      <c r="I32">
        <v>2000</v>
      </c>
      <c r="J32">
        <v>200</v>
      </c>
      <c r="K32" s="5">
        <f t="shared" si="5"/>
        <v>2200</v>
      </c>
      <c r="L32" s="5">
        <f t="shared" si="6"/>
        <v>400</v>
      </c>
      <c r="M32" s="5" t="s">
        <v>53</v>
      </c>
      <c r="S32" t="s">
        <v>32</v>
      </c>
      <c r="T32" s="4">
        <f t="shared" si="4"/>
        <v>1.7996871495732776</v>
      </c>
    </row>
    <row r="33" spans="1:20" ht="12.75">
      <c r="A33" t="s">
        <v>82</v>
      </c>
      <c r="B33" t="s">
        <v>79</v>
      </c>
      <c r="C33" t="s">
        <v>21</v>
      </c>
      <c r="D33" s="1">
        <v>15</v>
      </c>
      <c r="E33" s="1" t="s">
        <v>80</v>
      </c>
      <c r="F33" s="1" t="s">
        <v>30</v>
      </c>
      <c r="G33" s="1">
        <v>3</v>
      </c>
      <c r="H33" s="1">
        <v>1</v>
      </c>
      <c r="I33">
        <v>2300</v>
      </c>
      <c r="J33">
        <v>600</v>
      </c>
      <c r="K33" s="5">
        <f t="shared" si="5"/>
        <v>2500</v>
      </c>
      <c r="L33" s="5">
        <f t="shared" si="6"/>
        <v>800</v>
      </c>
      <c r="M33" s="5" t="s">
        <v>53</v>
      </c>
      <c r="N33" t="s">
        <v>83</v>
      </c>
      <c r="O33" s="2">
        <f>3*T$31</f>
        <v>12.600000000000001</v>
      </c>
      <c r="P33" s="2">
        <f>3*T$7</f>
        <v>12.600000000000001</v>
      </c>
      <c r="Q33" s="2">
        <f>MAX(0,D33-P33)</f>
        <v>2.3999999999999986</v>
      </c>
      <c r="S33" t="s">
        <v>34</v>
      </c>
      <c r="T33" s="4">
        <f t="shared" si="4"/>
        <v>3.8873242430782797</v>
      </c>
    </row>
    <row r="34" spans="1:13" ht="12.75">
      <c r="A34" t="s">
        <v>84</v>
      </c>
      <c r="B34" t="s">
        <v>79</v>
      </c>
      <c r="C34" t="s">
        <v>21</v>
      </c>
      <c r="D34" s="1">
        <v>30</v>
      </c>
      <c r="E34" s="1" t="s">
        <v>80</v>
      </c>
      <c r="F34" s="1" t="s">
        <v>30</v>
      </c>
      <c r="G34" s="1">
        <v>6</v>
      </c>
      <c r="H34" s="1">
        <v>0.7</v>
      </c>
      <c r="I34">
        <v>2300</v>
      </c>
      <c r="J34">
        <v>600</v>
      </c>
      <c r="K34" s="5">
        <f t="shared" si="5"/>
        <v>2500</v>
      </c>
      <c r="L34" s="5">
        <f t="shared" si="6"/>
        <v>800</v>
      </c>
      <c r="M34" s="5" t="s">
        <v>53</v>
      </c>
    </row>
    <row r="35" spans="1:19" ht="12.75">
      <c r="A35" t="s">
        <v>85</v>
      </c>
      <c r="B35" t="s">
        <v>79</v>
      </c>
      <c r="C35" t="s">
        <v>21</v>
      </c>
      <c r="D35" s="1">
        <v>30</v>
      </c>
      <c r="E35" s="1" t="s">
        <v>80</v>
      </c>
      <c r="F35" s="1" t="s">
        <v>30</v>
      </c>
      <c r="G35" s="1">
        <v>6</v>
      </c>
      <c r="H35" s="1">
        <v>0.7</v>
      </c>
      <c r="I35">
        <v>2300</v>
      </c>
      <c r="J35">
        <v>600</v>
      </c>
      <c r="K35" s="5">
        <f t="shared" si="5"/>
        <v>2500</v>
      </c>
      <c r="L35" s="5">
        <f t="shared" si="6"/>
        <v>800</v>
      </c>
      <c r="M35" s="5" t="s">
        <v>53</v>
      </c>
      <c r="S35" t="s">
        <v>86</v>
      </c>
    </row>
    <row r="36" spans="1:19" ht="12.75">
      <c r="A36" t="s">
        <v>87</v>
      </c>
      <c r="B36" t="s">
        <v>79</v>
      </c>
      <c r="C36" t="s">
        <v>21</v>
      </c>
      <c r="D36" s="1">
        <v>60</v>
      </c>
      <c r="E36" s="1" t="s">
        <v>80</v>
      </c>
      <c r="F36" s="1" t="s">
        <v>30</v>
      </c>
      <c r="G36" s="1">
        <v>12</v>
      </c>
      <c r="H36" s="1">
        <v>0.5</v>
      </c>
      <c r="I36">
        <v>2300</v>
      </c>
      <c r="J36">
        <v>600</v>
      </c>
      <c r="K36" s="5">
        <f t="shared" si="5"/>
        <v>2500</v>
      </c>
      <c r="L36" s="5">
        <f t="shared" si="6"/>
        <v>800</v>
      </c>
      <c r="M36" s="5" t="s">
        <v>53</v>
      </c>
      <c r="S36" t="s">
        <v>88</v>
      </c>
    </row>
    <row r="37" spans="1:20" ht="12.75">
      <c r="A37" t="s">
        <v>89</v>
      </c>
      <c r="B37" t="s">
        <v>79</v>
      </c>
      <c r="C37" t="s">
        <v>21</v>
      </c>
      <c r="D37" s="1">
        <v>30</v>
      </c>
      <c r="E37" s="1" t="s">
        <v>80</v>
      </c>
      <c r="F37" s="1" t="s">
        <v>30</v>
      </c>
      <c r="G37" s="1">
        <v>6</v>
      </c>
      <c r="H37" s="1">
        <v>0.7</v>
      </c>
      <c r="I37">
        <v>2300</v>
      </c>
      <c r="J37">
        <v>600</v>
      </c>
      <c r="K37" s="5">
        <f t="shared" si="5"/>
        <v>2500</v>
      </c>
      <c r="L37" s="5">
        <f t="shared" si="6"/>
        <v>800</v>
      </c>
      <c r="M37" s="5" t="s">
        <v>53</v>
      </c>
      <c r="N37" t="s">
        <v>90</v>
      </c>
      <c r="O37" s="2">
        <f>6*T$31</f>
        <v>25.200000000000003</v>
      </c>
      <c r="P37" s="2">
        <f>6*T$7</f>
        <v>25.200000000000003</v>
      </c>
      <c r="Q37" s="2">
        <f>MAX(0,D37-P37)</f>
        <v>4.799999999999997</v>
      </c>
      <c r="S37" s="3" t="s">
        <v>18</v>
      </c>
      <c r="T37" s="4">
        <f aca="true" t="shared" si="7" ref="T37:T44">T26*(1-1/(2+MAX(T$12,T15)/MIN(T$12,T15)))</f>
        <v>2.5639841180485443</v>
      </c>
    </row>
    <row r="38" spans="1:20" ht="12.75">
      <c r="A38" t="s">
        <v>91</v>
      </c>
      <c r="B38" t="s">
        <v>79</v>
      </c>
      <c r="C38" t="s">
        <v>21</v>
      </c>
      <c r="D38" s="1">
        <v>30</v>
      </c>
      <c r="E38" s="1" t="s">
        <v>80</v>
      </c>
      <c r="F38" s="1" t="s">
        <v>30</v>
      </c>
      <c r="G38" s="1">
        <v>6</v>
      </c>
      <c r="H38" s="1">
        <v>0.7</v>
      </c>
      <c r="I38">
        <v>2300</v>
      </c>
      <c r="J38">
        <v>600</v>
      </c>
      <c r="K38" s="5">
        <f t="shared" si="5"/>
        <v>2500</v>
      </c>
      <c r="L38" s="5">
        <f t="shared" si="6"/>
        <v>800</v>
      </c>
      <c r="M38" s="5" t="s">
        <v>53</v>
      </c>
      <c r="N38" t="s">
        <v>90</v>
      </c>
      <c r="O38" s="2">
        <f>6*T$31</f>
        <v>25.200000000000003</v>
      </c>
      <c r="P38" s="2">
        <f>6*T$7</f>
        <v>25.200000000000003</v>
      </c>
      <c r="Q38" s="2">
        <f>MAX(0,D38-P38)</f>
        <v>4.799999999999997</v>
      </c>
      <c r="S38" s="3" t="s">
        <v>22</v>
      </c>
      <c r="T38" s="4">
        <f t="shared" si="7"/>
        <v>2.8221083465329846</v>
      </c>
    </row>
    <row r="39" spans="1:20" ht="12.75">
      <c r="A39" t="s">
        <v>92</v>
      </c>
      <c r="B39" t="s">
        <v>79</v>
      </c>
      <c r="C39" t="s">
        <v>21</v>
      </c>
      <c r="D39" s="1">
        <v>30</v>
      </c>
      <c r="E39" s="1" t="s">
        <v>80</v>
      </c>
      <c r="F39" s="1" t="s">
        <v>30</v>
      </c>
      <c r="G39" s="1">
        <v>6</v>
      </c>
      <c r="H39" s="1">
        <v>0.7</v>
      </c>
      <c r="I39">
        <v>2300</v>
      </c>
      <c r="J39">
        <v>600</v>
      </c>
      <c r="K39" s="5">
        <f t="shared" si="5"/>
        <v>2500</v>
      </c>
      <c r="L39" s="5">
        <f t="shared" si="6"/>
        <v>800</v>
      </c>
      <c r="M39" s="5" t="s">
        <v>53</v>
      </c>
      <c r="N39" t="s">
        <v>93</v>
      </c>
      <c r="O39" s="2">
        <f>7*T$31</f>
        <v>29.400000000000002</v>
      </c>
      <c r="P39" s="2">
        <f>7*T$7</f>
        <v>29.400000000000002</v>
      </c>
      <c r="Q39" s="2">
        <f>MAX(0,D39-P39)</f>
        <v>0.5999999999999979</v>
      </c>
      <c r="S39" s="3" t="s">
        <v>24</v>
      </c>
      <c r="T39" s="4">
        <f t="shared" si="7"/>
        <v>0.6286286847633505</v>
      </c>
    </row>
    <row r="40" spans="1:20" ht="12.75">
      <c r="A40" t="s">
        <v>94</v>
      </c>
      <c r="B40" t="s">
        <v>79</v>
      </c>
      <c r="C40" t="s">
        <v>21</v>
      </c>
      <c r="D40" s="1">
        <v>15</v>
      </c>
      <c r="E40" s="1" t="s">
        <v>80</v>
      </c>
      <c r="F40" s="1" t="s">
        <v>30</v>
      </c>
      <c r="G40" s="1">
        <v>3</v>
      </c>
      <c r="H40" s="1">
        <v>1</v>
      </c>
      <c r="I40">
        <v>2300</v>
      </c>
      <c r="J40">
        <v>600</v>
      </c>
      <c r="K40" s="5">
        <f t="shared" si="5"/>
        <v>2500</v>
      </c>
      <c r="L40" s="5">
        <f t="shared" si="6"/>
        <v>800</v>
      </c>
      <c r="M40" s="5" t="s">
        <v>53</v>
      </c>
      <c r="N40" t="s">
        <v>83</v>
      </c>
      <c r="O40" s="2">
        <f>3*T$31</f>
        <v>12.600000000000001</v>
      </c>
      <c r="P40" s="2">
        <f>3*T$7</f>
        <v>12.600000000000001</v>
      </c>
      <c r="Q40" s="2">
        <f>MAX(0,D40-P40)</f>
        <v>2.3999999999999986</v>
      </c>
      <c r="S40" s="3" t="s">
        <v>26</v>
      </c>
      <c r="T40" s="4">
        <f t="shared" si="7"/>
        <v>1.940856165574782</v>
      </c>
    </row>
    <row r="41" spans="1:20" ht="12.75">
      <c r="A41" t="s">
        <v>95</v>
      </c>
      <c r="B41" t="s">
        <v>79</v>
      </c>
      <c r="C41" t="s">
        <v>21</v>
      </c>
      <c r="D41" s="1">
        <v>30</v>
      </c>
      <c r="E41" s="1" t="s">
        <v>80</v>
      </c>
      <c r="F41" s="1" t="s">
        <v>30</v>
      </c>
      <c r="G41" s="1">
        <v>6</v>
      </c>
      <c r="H41" s="1">
        <v>0.7</v>
      </c>
      <c r="I41">
        <v>2300</v>
      </c>
      <c r="J41">
        <v>600</v>
      </c>
      <c r="K41" s="5">
        <f t="shared" si="5"/>
        <v>2500</v>
      </c>
      <c r="L41" s="5">
        <f t="shared" si="6"/>
        <v>800</v>
      </c>
      <c r="M41" s="5" t="s">
        <v>53</v>
      </c>
      <c r="S41" s="3" t="s">
        <v>28</v>
      </c>
      <c r="T41" s="4">
        <f t="shared" si="7"/>
        <v>1.664354621132425</v>
      </c>
    </row>
    <row r="42" spans="19:20" ht="12.75">
      <c r="S42" s="1" t="s">
        <v>30</v>
      </c>
      <c r="T42" s="4">
        <f t="shared" si="7"/>
        <v>2.869598507916955</v>
      </c>
    </row>
    <row r="43" spans="1:20" ht="12.75">
      <c r="A43" t="s">
        <v>96</v>
      </c>
      <c r="B43" t="s">
        <v>97</v>
      </c>
      <c r="C43" t="s">
        <v>98</v>
      </c>
      <c r="D43" s="1">
        <v>15</v>
      </c>
      <c r="E43" s="1" t="s">
        <v>80</v>
      </c>
      <c r="F43" s="1" t="s">
        <v>30</v>
      </c>
      <c r="G43" s="1">
        <v>3</v>
      </c>
      <c r="H43" s="1">
        <v>1</v>
      </c>
      <c r="I43">
        <v>2300</v>
      </c>
      <c r="J43">
        <v>300</v>
      </c>
      <c r="K43" s="5">
        <f aca="true" t="shared" si="8" ref="K43:L47">I43+200</f>
        <v>2500</v>
      </c>
      <c r="L43" s="5">
        <f t="shared" si="8"/>
        <v>500</v>
      </c>
      <c r="M43" s="5" t="s">
        <v>53</v>
      </c>
      <c r="N43" t="s">
        <v>99</v>
      </c>
      <c r="O43" s="2">
        <f>4*T$31</f>
        <v>16.8</v>
      </c>
      <c r="P43" s="2">
        <f>4*T$7</f>
        <v>16.8</v>
      </c>
      <c r="Q43" s="2">
        <f>MAX(0,D43-P43)</f>
        <v>0</v>
      </c>
      <c r="S43" t="s">
        <v>32</v>
      </c>
      <c r="T43" s="4">
        <f t="shared" si="7"/>
        <v>1.6121007861010628</v>
      </c>
    </row>
    <row r="44" spans="1:20" ht="12.75">
      <c r="A44" t="s">
        <v>100</v>
      </c>
      <c r="B44" t="s">
        <v>97</v>
      </c>
      <c r="C44" t="s">
        <v>98</v>
      </c>
      <c r="D44" s="1">
        <v>30</v>
      </c>
      <c r="E44" s="1" t="s">
        <v>52</v>
      </c>
      <c r="F44" s="1" t="s">
        <v>22</v>
      </c>
      <c r="G44" s="1">
        <v>2</v>
      </c>
      <c r="H44" s="1">
        <v>1</v>
      </c>
      <c r="I44">
        <v>400</v>
      </c>
      <c r="J44">
        <v>1200</v>
      </c>
      <c r="K44" s="5">
        <f t="shared" si="8"/>
        <v>600</v>
      </c>
      <c r="L44" s="5">
        <f t="shared" si="8"/>
        <v>1400</v>
      </c>
      <c r="M44" s="5" t="s">
        <v>59</v>
      </c>
      <c r="N44" t="s">
        <v>83</v>
      </c>
      <c r="O44" s="2">
        <f>3*T$27</f>
        <v>9.718310607695699</v>
      </c>
      <c r="P44" s="2">
        <f>3*T$3</f>
        <v>56</v>
      </c>
      <c r="Q44" s="2">
        <f>MAX(0,D44-P44)</f>
        <v>0</v>
      </c>
      <c r="S44" t="s">
        <v>34</v>
      </c>
      <c r="T44" s="4">
        <f t="shared" si="7"/>
        <v>2.649503774940038</v>
      </c>
    </row>
    <row r="45" spans="1:13" ht="12.75">
      <c r="A45" t="s">
        <v>101</v>
      </c>
      <c r="B45" t="s">
        <v>97</v>
      </c>
      <c r="C45" t="s">
        <v>98</v>
      </c>
      <c r="D45" s="1">
        <v>30</v>
      </c>
      <c r="E45" s="1" t="s">
        <v>52</v>
      </c>
      <c r="F45" s="1" t="s">
        <v>22</v>
      </c>
      <c r="G45" s="1">
        <v>2</v>
      </c>
      <c r="H45" s="1">
        <v>1</v>
      </c>
      <c r="I45">
        <v>500</v>
      </c>
      <c r="J45">
        <v>1200</v>
      </c>
      <c r="K45" s="5">
        <f t="shared" si="8"/>
        <v>700</v>
      </c>
      <c r="L45" s="5">
        <f t="shared" si="8"/>
        <v>1400</v>
      </c>
      <c r="M45" s="5" t="s">
        <v>59</v>
      </c>
    </row>
    <row r="46" spans="1:13" ht="12.75">
      <c r="A46" t="s">
        <v>102</v>
      </c>
      <c r="B46" t="s">
        <v>97</v>
      </c>
      <c r="C46" t="s">
        <v>21</v>
      </c>
      <c r="D46" s="1">
        <v>15</v>
      </c>
      <c r="E46" s="1" t="s">
        <v>80</v>
      </c>
      <c r="F46" s="1" t="s">
        <v>30</v>
      </c>
      <c r="G46" s="1">
        <v>3</v>
      </c>
      <c r="H46" s="1">
        <v>1</v>
      </c>
      <c r="I46">
        <v>800</v>
      </c>
      <c r="J46">
        <v>1200</v>
      </c>
      <c r="K46" s="5">
        <f t="shared" si="8"/>
        <v>1000</v>
      </c>
      <c r="L46" s="5">
        <f t="shared" si="8"/>
        <v>1400</v>
      </c>
      <c r="M46" s="5" t="s">
        <v>53</v>
      </c>
    </row>
    <row r="47" spans="1:13" ht="12.75">
      <c r="A47" t="s">
        <v>103</v>
      </c>
      <c r="B47" t="s">
        <v>97</v>
      </c>
      <c r="C47" t="s">
        <v>21</v>
      </c>
      <c r="D47" s="1">
        <v>15</v>
      </c>
      <c r="E47" s="1" t="s">
        <v>80</v>
      </c>
      <c r="F47" s="1" t="s">
        <v>30</v>
      </c>
      <c r="G47" s="1">
        <v>3</v>
      </c>
      <c r="H47" s="1">
        <v>1</v>
      </c>
      <c r="I47">
        <v>1100</v>
      </c>
      <c r="J47">
        <v>1200</v>
      </c>
      <c r="K47" s="5">
        <f t="shared" si="8"/>
        <v>1300</v>
      </c>
      <c r="L47" s="5">
        <f t="shared" si="8"/>
        <v>1400</v>
      </c>
      <c r="M47" s="5" t="s">
        <v>53</v>
      </c>
    </row>
    <row r="48" spans="1:17" ht="12.75">
      <c r="A48" t="s">
        <v>104</v>
      </c>
      <c r="B48" t="s">
        <v>105</v>
      </c>
      <c r="F48" s="1" t="s">
        <v>106</v>
      </c>
      <c r="K48" s="5"/>
      <c r="L48" s="5"/>
      <c r="M48" s="5"/>
      <c r="N48" t="s">
        <v>107</v>
      </c>
      <c r="O48" s="2">
        <f>2*T$29</f>
        <v>4.319249158975866</v>
      </c>
      <c r="P48" s="2">
        <f>2*T$5</f>
        <v>34</v>
      </c>
      <c r="Q48" s="2">
        <f>MAX(0,D48-P48)</f>
        <v>0</v>
      </c>
    </row>
    <row r="50" spans="1:13" ht="12.75">
      <c r="A50" t="s">
        <v>108</v>
      </c>
      <c r="B50" t="s">
        <v>109</v>
      </c>
      <c r="C50" t="s">
        <v>98</v>
      </c>
      <c r="D50" s="1">
        <v>60</v>
      </c>
      <c r="E50" s="1" t="s">
        <v>80</v>
      </c>
      <c r="F50" s="1" t="s">
        <v>30</v>
      </c>
      <c r="G50" s="1">
        <v>12</v>
      </c>
      <c r="H50" s="1">
        <v>0.5</v>
      </c>
      <c r="I50">
        <v>2000</v>
      </c>
      <c r="J50">
        <v>2200</v>
      </c>
      <c r="K50" s="5">
        <f aca="true" t="shared" si="9" ref="K50:K62">I50+200</f>
        <v>2200</v>
      </c>
      <c r="L50" s="5">
        <f aca="true" t="shared" si="10" ref="L50:L62">J50+200</f>
        <v>2400</v>
      </c>
      <c r="M50" s="5" t="s">
        <v>68</v>
      </c>
    </row>
    <row r="51" spans="1:13" ht="12.75">
      <c r="A51" t="s">
        <v>110</v>
      </c>
      <c r="B51" t="s">
        <v>109</v>
      </c>
      <c r="C51" t="s">
        <v>98</v>
      </c>
      <c r="D51" s="1">
        <v>60</v>
      </c>
      <c r="E51" s="1" t="s">
        <v>80</v>
      </c>
      <c r="F51" s="1" t="s">
        <v>30</v>
      </c>
      <c r="G51" s="1">
        <v>12</v>
      </c>
      <c r="H51" s="1">
        <v>0.5</v>
      </c>
      <c r="I51">
        <v>2000</v>
      </c>
      <c r="J51">
        <v>2200</v>
      </c>
      <c r="K51" s="5">
        <f t="shared" si="9"/>
        <v>2200</v>
      </c>
      <c r="L51" s="5">
        <f t="shared" si="10"/>
        <v>2400</v>
      </c>
      <c r="M51" s="5" t="s">
        <v>53</v>
      </c>
    </row>
    <row r="52" spans="1:13" ht="12.75">
      <c r="A52" t="s">
        <v>111</v>
      </c>
      <c r="B52" t="s">
        <v>112</v>
      </c>
      <c r="C52" t="s">
        <v>98</v>
      </c>
      <c r="D52" s="1">
        <v>60</v>
      </c>
      <c r="E52" s="1" t="s">
        <v>80</v>
      </c>
      <c r="F52" s="1" t="s">
        <v>30</v>
      </c>
      <c r="G52" s="1">
        <v>12</v>
      </c>
      <c r="H52" s="1">
        <v>0.5</v>
      </c>
      <c r="I52">
        <v>2300</v>
      </c>
      <c r="J52">
        <v>200</v>
      </c>
      <c r="K52" s="5">
        <f t="shared" si="9"/>
        <v>2500</v>
      </c>
      <c r="L52" s="5">
        <f t="shared" si="10"/>
        <v>400</v>
      </c>
      <c r="M52" s="5" t="s">
        <v>59</v>
      </c>
    </row>
    <row r="53" spans="1:17" ht="12.75">
      <c r="A53" t="s">
        <v>113</v>
      </c>
      <c r="B53" t="s">
        <v>112</v>
      </c>
      <c r="C53" t="s">
        <v>98</v>
      </c>
      <c r="D53" s="1">
        <v>30</v>
      </c>
      <c r="E53" s="1" t="s">
        <v>80</v>
      </c>
      <c r="F53" s="1" t="s">
        <v>30</v>
      </c>
      <c r="G53" s="1">
        <v>6</v>
      </c>
      <c r="H53" s="1">
        <v>0.7</v>
      </c>
      <c r="I53">
        <v>2300</v>
      </c>
      <c r="J53">
        <v>200</v>
      </c>
      <c r="K53" s="5">
        <f t="shared" si="9"/>
        <v>2500</v>
      </c>
      <c r="L53" s="5">
        <f t="shared" si="10"/>
        <v>400</v>
      </c>
      <c r="M53" s="5" t="s">
        <v>59</v>
      </c>
      <c r="N53" t="s">
        <v>114</v>
      </c>
      <c r="O53" s="2">
        <f>15*T$31</f>
        <v>63</v>
      </c>
      <c r="P53" s="2">
        <f>15*T$7</f>
        <v>63</v>
      </c>
      <c r="Q53" s="2">
        <f>MAX(0,D53-P53)</f>
        <v>0</v>
      </c>
    </row>
    <row r="54" spans="1:17" ht="12.75">
      <c r="A54" t="s">
        <v>115</v>
      </c>
      <c r="B54" t="s">
        <v>112</v>
      </c>
      <c r="C54" t="s">
        <v>98</v>
      </c>
      <c r="D54" s="1">
        <v>60</v>
      </c>
      <c r="E54" s="1" t="s">
        <v>80</v>
      </c>
      <c r="F54" s="1" t="s">
        <v>30</v>
      </c>
      <c r="G54" s="1">
        <v>12</v>
      </c>
      <c r="H54" s="1">
        <v>0.5</v>
      </c>
      <c r="I54">
        <v>2300</v>
      </c>
      <c r="J54">
        <v>200</v>
      </c>
      <c r="K54" s="5">
        <f t="shared" si="9"/>
        <v>2500</v>
      </c>
      <c r="L54" s="5">
        <f t="shared" si="10"/>
        <v>400</v>
      </c>
      <c r="M54" s="5" t="s">
        <v>59</v>
      </c>
      <c r="N54" t="s">
        <v>116</v>
      </c>
      <c r="O54" s="2">
        <f>9*T$31</f>
        <v>37.800000000000004</v>
      </c>
      <c r="P54" s="2">
        <f>9*T$7</f>
        <v>37.800000000000004</v>
      </c>
      <c r="Q54" s="2">
        <f>MAX(0,D54-P54)</f>
        <v>22.199999999999996</v>
      </c>
    </row>
    <row r="55" spans="1:17" ht="12.75">
      <c r="A55" t="s">
        <v>117</v>
      </c>
      <c r="B55" t="s">
        <v>112</v>
      </c>
      <c r="C55" t="s">
        <v>98</v>
      </c>
      <c r="D55" s="1">
        <v>60</v>
      </c>
      <c r="E55" s="1" t="s">
        <v>80</v>
      </c>
      <c r="F55" s="1" t="s">
        <v>30</v>
      </c>
      <c r="G55" s="1">
        <v>12</v>
      </c>
      <c r="H55" s="1">
        <v>0.5</v>
      </c>
      <c r="I55">
        <v>2300</v>
      </c>
      <c r="J55">
        <v>200</v>
      </c>
      <c r="K55" s="5">
        <f t="shared" si="9"/>
        <v>2500</v>
      </c>
      <c r="L55" s="5">
        <f t="shared" si="10"/>
        <v>400</v>
      </c>
      <c r="M55" s="5" t="s">
        <v>59</v>
      </c>
      <c r="N55" t="s">
        <v>118</v>
      </c>
      <c r="O55" s="2">
        <f>24*T$31</f>
        <v>100.80000000000001</v>
      </c>
      <c r="P55" s="2">
        <f>24*T$7</f>
        <v>100.80000000000001</v>
      </c>
      <c r="Q55" s="2">
        <f>MAX(0,D55-P55)</f>
        <v>0</v>
      </c>
    </row>
    <row r="56" spans="1:17" ht="12.75">
      <c r="A56" t="s">
        <v>119</v>
      </c>
      <c r="B56" t="s">
        <v>109</v>
      </c>
      <c r="C56" t="s">
        <v>21</v>
      </c>
      <c r="D56" s="1">
        <v>30</v>
      </c>
      <c r="E56" s="1" t="s">
        <v>80</v>
      </c>
      <c r="F56" s="1" t="s">
        <v>30</v>
      </c>
      <c r="G56" s="1">
        <v>6</v>
      </c>
      <c r="H56" s="1">
        <v>0.7</v>
      </c>
      <c r="I56">
        <v>2400</v>
      </c>
      <c r="J56">
        <v>300</v>
      </c>
      <c r="K56" s="5">
        <f t="shared" si="9"/>
        <v>2600</v>
      </c>
      <c r="L56" s="5">
        <f t="shared" si="10"/>
        <v>500</v>
      </c>
      <c r="M56" s="5" t="s">
        <v>68</v>
      </c>
      <c r="N56" t="s">
        <v>93</v>
      </c>
      <c r="O56" s="2">
        <f>7*T$31</f>
        <v>29.400000000000002</v>
      </c>
      <c r="P56" s="2">
        <f>7*T$7</f>
        <v>29.400000000000002</v>
      </c>
      <c r="Q56" s="2">
        <f>MAX(0,D56-P56)</f>
        <v>0.5999999999999979</v>
      </c>
    </row>
    <row r="57" spans="1:13" ht="12.75">
      <c r="A57" t="s">
        <v>120</v>
      </c>
      <c r="C57" t="s">
        <v>98</v>
      </c>
      <c r="D57" s="1">
        <v>60</v>
      </c>
      <c r="E57" s="1" t="s">
        <v>80</v>
      </c>
      <c r="F57" s="1" t="s">
        <v>30</v>
      </c>
      <c r="G57" s="1">
        <v>12</v>
      </c>
      <c r="H57" s="1">
        <v>0.5</v>
      </c>
      <c r="I57">
        <v>500</v>
      </c>
      <c r="J57">
        <v>900</v>
      </c>
      <c r="K57" s="5">
        <f t="shared" si="9"/>
        <v>700</v>
      </c>
      <c r="L57" s="5">
        <f t="shared" si="10"/>
        <v>1100</v>
      </c>
      <c r="M57" s="5" t="s">
        <v>68</v>
      </c>
    </row>
    <row r="58" spans="1:13" ht="12.75">
      <c r="A58" t="s">
        <v>121</v>
      </c>
      <c r="C58" t="s">
        <v>98</v>
      </c>
      <c r="D58" s="1">
        <v>60</v>
      </c>
      <c r="E58" s="1" t="s">
        <v>80</v>
      </c>
      <c r="F58" s="1" t="s">
        <v>30</v>
      </c>
      <c r="G58" s="1">
        <v>12</v>
      </c>
      <c r="H58" s="1">
        <v>0.5</v>
      </c>
      <c r="I58">
        <v>500</v>
      </c>
      <c r="J58">
        <v>900</v>
      </c>
      <c r="K58" s="5">
        <f t="shared" si="9"/>
        <v>700</v>
      </c>
      <c r="L58" s="5">
        <f t="shared" si="10"/>
        <v>1100</v>
      </c>
      <c r="M58" s="5" t="s">
        <v>68</v>
      </c>
    </row>
    <row r="59" spans="1:17" ht="12.75">
      <c r="A59" t="s">
        <v>122</v>
      </c>
      <c r="B59" t="s">
        <v>123</v>
      </c>
      <c r="C59" t="s">
        <v>98</v>
      </c>
      <c r="D59" s="1">
        <v>60</v>
      </c>
      <c r="E59" s="1" t="s">
        <v>80</v>
      </c>
      <c r="F59" s="1" t="s">
        <v>30</v>
      </c>
      <c r="G59" s="1">
        <v>12</v>
      </c>
      <c r="H59" s="1">
        <v>0.5</v>
      </c>
      <c r="I59">
        <v>500</v>
      </c>
      <c r="J59">
        <v>1200</v>
      </c>
      <c r="K59" s="5">
        <f t="shared" si="9"/>
        <v>700</v>
      </c>
      <c r="L59" s="5">
        <f t="shared" si="10"/>
        <v>1400</v>
      </c>
      <c r="M59" s="5" t="s">
        <v>53</v>
      </c>
      <c r="N59" t="s">
        <v>124</v>
      </c>
      <c r="O59" s="2">
        <f>10*T$31</f>
        <v>42</v>
      </c>
      <c r="P59" s="2">
        <f>10*T$7</f>
        <v>42</v>
      </c>
      <c r="Q59" s="2">
        <f>MAX(0,D59-P59)</f>
        <v>18</v>
      </c>
    </row>
    <row r="60" spans="1:13" ht="12.75">
      <c r="A60" t="s">
        <v>125</v>
      </c>
      <c r="C60" t="s">
        <v>98</v>
      </c>
      <c r="D60" s="1">
        <v>60</v>
      </c>
      <c r="E60" s="1" t="s">
        <v>80</v>
      </c>
      <c r="F60" s="1" t="s">
        <v>30</v>
      </c>
      <c r="G60" s="1">
        <v>12</v>
      </c>
      <c r="H60" s="1">
        <v>0.5</v>
      </c>
      <c r="I60">
        <v>900</v>
      </c>
      <c r="J60">
        <v>1200</v>
      </c>
      <c r="K60" s="5">
        <f t="shared" si="9"/>
        <v>1100</v>
      </c>
      <c r="L60" s="5">
        <f t="shared" si="10"/>
        <v>1400</v>
      </c>
      <c r="M60" s="5" t="s">
        <v>59</v>
      </c>
    </row>
    <row r="61" spans="1:13" ht="12.75">
      <c r="A61" t="s">
        <v>126</v>
      </c>
      <c r="C61" t="s">
        <v>98</v>
      </c>
      <c r="D61" s="1">
        <v>60</v>
      </c>
      <c r="E61" s="1" t="s">
        <v>80</v>
      </c>
      <c r="F61" s="1" t="s">
        <v>30</v>
      </c>
      <c r="G61" s="1">
        <v>12</v>
      </c>
      <c r="H61" s="1">
        <v>0.5</v>
      </c>
      <c r="I61">
        <v>900</v>
      </c>
      <c r="J61">
        <v>1200</v>
      </c>
      <c r="K61" s="5">
        <f t="shared" si="9"/>
        <v>1100</v>
      </c>
      <c r="L61" s="5">
        <f t="shared" si="10"/>
        <v>1400</v>
      </c>
      <c r="M61" s="5" t="s">
        <v>59</v>
      </c>
    </row>
    <row r="62" spans="1:17" ht="12.75">
      <c r="A62" t="s">
        <v>127</v>
      </c>
      <c r="C62" t="s">
        <v>98</v>
      </c>
      <c r="D62">
        <v>60</v>
      </c>
      <c r="E62" s="1" t="s">
        <v>80</v>
      </c>
      <c r="F62" s="1" t="s">
        <v>30</v>
      </c>
      <c r="G62" s="1">
        <v>12</v>
      </c>
      <c r="H62" s="1">
        <v>0.5</v>
      </c>
      <c r="I62">
        <v>900</v>
      </c>
      <c r="J62">
        <v>1200</v>
      </c>
      <c r="K62" s="5">
        <f t="shared" si="9"/>
        <v>1100</v>
      </c>
      <c r="L62" s="5">
        <f t="shared" si="10"/>
        <v>1400</v>
      </c>
      <c r="M62" s="5" t="s">
        <v>59</v>
      </c>
      <c r="N62" t="s">
        <v>128</v>
      </c>
      <c r="O62" s="2">
        <f>12*T$31</f>
        <v>50.400000000000006</v>
      </c>
      <c r="P62" s="2">
        <f>12*T$7</f>
        <v>50.400000000000006</v>
      </c>
      <c r="Q62" s="2">
        <f>MAX(0,D62-P62)</f>
        <v>9.599999999999994</v>
      </c>
    </row>
    <row r="63" spans="4:8" ht="12.75">
      <c r="D63"/>
      <c r="E63"/>
      <c r="F63"/>
      <c r="G63"/>
      <c r="H63"/>
    </row>
    <row r="64" spans="1:17" ht="12.75">
      <c r="A64" t="s">
        <v>129</v>
      </c>
      <c r="B64" t="s">
        <v>130</v>
      </c>
      <c r="C64" t="s">
        <v>98</v>
      </c>
      <c r="D64" s="1">
        <v>600</v>
      </c>
      <c r="E64" s="1" t="s">
        <v>131</v>
      </c>
      <c r="F64" s="1" t="s">
        <v>132</v>
      </c>
      <c r="G64" s="1">
        <v>35</v>
      </c>
      <c r="H64" s="1">
        <v>0.2</v>
      </c>
      <c r="I64">
        <v>2000</v>
      </c>
      <c r="J64">
        <v>2400</v>
      </c>
      <c r="K64" s="5">
        <f aca="true" t="shared" si="11" ref="K64:L67">I64+200</f>
        <v>2200</v>
      </c>
      <c r="L64" s="5">
        <f t="shared" si="11"/>
        <v>2600</v>
      </c>
      <c r="M64" s="5" t="s">
        <v>59</v>
      </c>
      <c r="N64" t="s">
        <v>133</v>
      </c>
      <c r="O64" s="2">
        <f>17*T$32</f>
        <v>30.594681542745718</v>
      </c>
      <c r="P64" s="2">
        <f>17*T$8</f>
        <v>232.33333333333331</v>
      </c>
      <c r="Q64" s="2">
        <f>MAX(0,D64-P64)</f>
        <v>367.6666666666667</v>
      </c>
    </row>
    <row r="65" spans="1:13" ht="12.75">
      <c r="A65" t="s">
        <v>134</v>
      </c>
      <c r="B65" t="s">
        <v>135</v>
      </c>
      <c r="C65" t="s">
        <v>98</v>
      </c>
      <c r="D65" s="1">
        <v>600</v>
      </c>
      <c r="E65" s="1" t="s">
        <v>67</v>
      </c>
      <c r="F65" s="1" t="s">
        <v>28</v>
      </c>
      <c r="G65" s="1">
        <f>600/24</f>
        <v>25</v>
      </c>
      <c r="H65" s="1">
        <v>0.2</v>
      </c>
      <c r="I65">
        <v>2300</v>
      </c>
      <c r="J65">
        <v>230</v>
      </c>
      <c r="K65" s="5">
        <f t="shared" si="11"/>
        <v>2500</v>
      </c>
      <c r="L65" s="5">
        <f t="shared" si="11"/>
        <v>430</v>
      </c>
      <c r="M65" s="5" t="s">
        <v>59</v>
      </c>
    </row>
    <row r="66" spans="1:17" ht="12.75">
      <c r="A66" t="s">
        <v>136</v>
      </c>
      <c r="B66" t="s">
        <v>130</v>
      </c>
      <c r="C66" t="s">
        <v>98</v>
      </c>
      <c r="D66" s="1">
        <v>600</v>
      </c>
      <c r="E66" s="1" t="s">
        <v>131</v>
      </c>
      <c r="F66" s="1" t="s">
        <v>132</v>
      </c>
      <c r="G66" s="1">
        <v>35</v>
      </c>
      <c r="H66" s="1">
        <v>0.2</v>
      </c>
      <c r="I66">
        <v>200</v>
      </c>
      <c r="J66">
        <v>1100</v>
      </c>
      <c r="K66" s="5">
        <f t="shared" si="11"/>
        <v>400</v>
      </c>
      <c r="L66" s="5">
        <f t="shared" si="11"/>
        <v>1300</v>
      </c>
      <c r="M66" s="5" t="s">
        <v>59</v>
      </c>
      <c r="N66" t="s">
        <v>137</v>
      </c>
      <c r="O66" s="2">
        <f>21*T$32</f>
        <v>37.793430141038826</v>
      </c>
      <c r="P66" s="2">
        <f>21*T$8</f>
        <v>287</v>
      </c>
      <c r="Q66" s="2">
        <f>MAX(0,D66-P66)</f>
        <v>313</v>
      </c>
    </row>
    <row r="67" spans="1:17" ht="12.75">
      <c r="A67" t="s">
        <v>138</v>
      </c>
      <c r="B67" t="s">
        <v>135</v>
      </c>
      <c r="C67" t="s">
        <v>98</v>
      </c>
      <c r="D67" s="1">
        <v>600</v>
      </c>
      <c r="E67" s="1" t="s">
        <v>67</v>
      </c>
      <c r="F67" s="1" t="s">
        <v>28</v>
      </c>
      <c r="G67" s="1">
        <v>25</v>
      </c>
      <c r="H67" s="1">
        <v>0.2</v>
      </c>
      <c r="I67">
        <v>600</v>
      </c>
      <c r="J67">
        <v>1200</v>
      </c>
      <c r="K67" s="5">
        <f t="shared" si="11"/>
        <v>800</v>
      </c>
      <c r="L67" s="5">
        <f t="shared" si="11"/>
        <v>1400</v>
      </c>
      <c r="M67" s="5" t="s">
        <v>59</v>
      </c>
      <c r="N67" t="s">
        <v>65</v>
      </c>
      <c r="O67" s="2">
        <f>2*T$30</f>
        <v>3.5993742991465547</v>
      </c>
      <c r="P67" s="2">
        <f>2*T$6</f>
        <v>40.666666666666664</v>
      </c>
      <c r="Q67" s="2">
        <f>MAX(0,D67-P67)</f>
        <v>559.3333333333334</v>
      </c>
    </row>
    <row r="68" spans="11:13" ht="12.75">
      <c r="K68" s="5"/>
      <c r="L68" s="5"/>
      <c r="M68" s="5"/>
    </row>
    <row r="69" spans="1:17" ht="12.75">
      <c r="A69" t="s">
        <v>139</v>
      </c>
      <c r="B69" t="s">
        <v>140</v>
      </c>
      <c r="D69" s="1">
        <v>60</v>
      </c>
      <c r="E69" s="1" t="s">
        <v>141</v>
      </c>
      <c r="F69" s="1" t="s">
        <v>142</v>
      </c>
      <c r="K69" s="5"/>
      <c r="L69" s="5"/>
      <c r="M69" s="5" t="s">
        <v>59</v>
      </c>
      <c r="N69" t="s">
        <v>143</v>
      </c>
      <c r="O69" s="2">
        <f>7*T$33</f>
        <v>27.21126970154796</v>
      </c>
      <c r="P69" s="2">
        <f>7*T$9</f>
        <v>31.033333333333335</v>
      </c>
      <c r="Q69" s="2">
        <f>MAX(0,D69-P69)</f>
        <v>28.966666666666665</v>
      </c>
    </row>
    <row r="70" spans="4:8" ht="12.75">
      <c r="D70"/>
      <c r="E70"/>
      <c r="F70"/>
      <c r="G70"/>
      <c r="H70"/>
    </row>
    <row r="71" spans="3:17" ht="12.75">
      <c r="C71" t="s">
        <v>144</v>
      </c>
      <c r="D71" s="7">
        <f>SUM(D21:D67)/60</f>
        <v>65.36666666666666</v>
      </c>
      <c r="E71" s="1" t="s">
        <v>145</v>
      </c>
      <c r="O71" s="7">
        <f>SUM(O13:O69)/60</f>
        <v>10.879384629074865</v>
      </c>
      <c r="P71" s="7">
        <f>SUM(P13:P69)/60</f>
        <v>25.971111111111107</v>
      </c>
      <c r="Q71" s="7">
        <f>SUM(Q13:Q69)/60</f>
        <v>23.04666666666667</v>
      </c>
    </row>
    <row r="72" spans="4:8" ht="12.75">
      <c r="D72"/>
      <c r="E72"/>
      <c r="F72"/>
      <c r="G72"/>
      <c r="H72"/>
    </row>
  </sheetData>
  <sheetProtection selectLockedCells="1" selectUnlockedCells="1"/>
  <printOptions gridLines="1"/>
  <pageMargins left="0.7875" right="0.7875" top="1.0527777777777778" bottom="1.0541666666666667" header="0.7875" footer="0.7875"/>
  <pageSetup firstPageNumber="1" useFirstPageNumber="1" fitToHeight="2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